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340" windowHeight="8175" activeTab="0"/>
  </bookViews>
  <sheets>
    <sheet name="How Govt Robs Our rent" sheetId="1" r:id="rId1"/>
    <sheet name="Total Robbery 94-03" sheetId="2" r:id="rId2"/>
    <sheet name="Per Unit Figures 94-09" sheetId="3" r:id="rId3"/>
  </sheets>
  <definedNames/>
  <calcPr fullCalcOnLoad="1"/>
</workbook>
</file>

<file path=xl/sharedStrings.xml><?xml version="1.0" encoding="utf-8"?>
<sst xmlns="http://schemas.openxmlformats.org/spreadsheetml/2006/main" count="149" uniqueCount="53">
  <si>
    <t>Income</t>
  </si>
  <si>
    <t>TOTAL</t>
  </si>
  <si>
    <t>Notional income from rents</t>
  </si>
  <si>
    <t>Total Income</t>
  </si>
  <si>
    <t>Allowances</t>
  </si>
  <si>
    <t>M&amp;M</t>
  </si>
  <si>
    <t>Major Repairs Allowance</t>
  </si>
  <si>
    <t>Other allowances</t>
  </si>
  <si>
    <t>Total allowances</t>
  </si>
  <si>
    <t xml:space="preserve">  =======</t>
  </si>
  <si>
    <t xml:space="preserve"> ==========</t>
  </si>
  <si>
    <t xml:space="preserve">  ===========</t>
  </si>
  <si>
    <t>Stock Numbers:</t>
  </si>
  <si>
    <t>2003-04</t>
  </si>
  <si>
    <t>2002-03</t>
  </si>
  <si>
    <t>2001-02</t>
  </si>
  <si>
    <t>2000-01</t>
  </si>
  <si>
    <t>1999-00</t>
  </si>
  <si>
    <t>1998-99</t>
  </si>
  <si>
    <t>1997-98</t>
  </si>
  <si>
    <t>1996-97</t>
  </si>
  <si>
    <t>1995-96</t>
  </si>
  <si>
    <t>1994-95</t>
  </si>
  <si>
    <t>1993-94</t>
  </si>
  <si>
    <t>ROBBERY 1994-2003</t>
  </si>
  <si>
    <t>ROBBERY</t>
  </si>
  <si>
    <t>2004-05</t>
  </si>
  <si>
    <t>from schedules</t>
  </si>
  <si>
    <t>2005-06</t>
  </si>
  <si>
    <t>2006-07</t>
  </si>
  <si>
    <t>2007-08</t>
  </si>
  <si>
    <t>Rent</t>
  </si>
  <si>
    <t>MRA</t>
  </si>
  <si>
    <t xml:space="preserve">  ======</t>
  </si>
  <si>
    <t>TOTAL EXPENDITURE</t>
  </si>
  <si>
    <t>Headline Figures - per unit</t>
  </si>
  <si>
    <t>Year</t>
  </si>
  <si>
    <t>Rents</t>
  </si>
  <si>
    <t>(from PQ answer)</t>
  </si>
  <si>
    <t>(from schedules)</t>
  </si>
  <si>
    <t>2008/09</t>
  </si>
  <si>
    <t>M&amp;M should be today:</t>
  </si>
  <si>
    <t>Sources</t>
  </si>
  <si>
    <t>1993/94 to 2003/04</t>
  </si>
  <si>
    <t>Rent and allowances from PQ 04350436 06/07</t>
  </si>
  <si>
    <t>Stock numbers from UK Housing Review 2004/05 - dwellings by tenure England (table 17a)</t>
  </si>
  <si>
    <t>2004/05 to 2008/09</t>
  </si>
  <si>
    <t>Rent, allowances and stock numbers from DCLG Subsidy determinations</t>
  </si>
  <si>
    <t>Figures from answer to Parliamentary Question 04350436 06/07</t>
  </si>
  <si>
    <t>Management &amp; Maintenance</t>
  </si>
  <si>
    <t>Figures from:</t>
  </si>
  <si>
    <t>DETAILS SHOWING WHERE THESE FIGURES COME FROM IN FOLLOWING WORKSHEETS</t>
  </si>
  <si>
    <t>Robbery - Per Unit Figures 1993-04 to 2008-09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</si>
</sst>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8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7.5"/>
      <name val="Arial"/>
      <family val="0"/>
    </font>
    <font>
      <b/>
      <sz val="14.5"/>
      <name val="Arial"/>
      <family val="0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164" fontId="0" fillId="0" borderId="0" xfId="15" applyNumberFormat="1" applyFont="1" applyAlignment="1">
      <alignment horizontal="right"/>
    </xf>
    <xf numFmtId="164" fontId="0" fillId="0" borderId="0" xfId="15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How Government Robs Our Rent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'How Govt Robs Our rent'!$A$34</c:f>
              <c:strCache>
                <c:ptCount val="1"/>
                <c:pt idx="0">
                  <c:v>Rents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'How Govt Robs Our rent'!$B$33:$Q$33</c:f>
              <c:strCache/>
            </c:strRef>
          </c:cat>
          <c:val>
            <c:numRef>
              <c:f>'How Govt Robs Our rent'!$B$34:$Q$34</c:f>
              <c:numCache/>
            </c:numRef>
          </c:val>
          <c:smooth val="0"/>
        </c:ser>
        <c:ser>
          <c:idx val="2"/>
          <c:order val="1"/>
          <c:tx>
            <c:strRef>
              <c:f>'How Govt Robs Our rent'!$A$35</c:f>
              <c:strCache>
                <c:ptCount val="1"/>
                <c:pt idx="0">
                  <c:v>Allowances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'How Govt Robs Our rent'!$B$33:$Q$33</c:f>
              <c:strCache/>
            </c:strRef>
          </c:cat>
          <c:val>
            <c:numRef>
              <c:f>'How Govt Robs Our rent'!$B$35:$Q$35</c:f>
              <c:numCache/>
            </c:numRef>
          </c:val>
          <c:smooth val="0"/>
        </c:ser>
        <c:marker val="1"/>
        <c:axId val="20535442"/>
        <c:axId val="50601251"/>
      </c:lineChart>
      <c:catAx>
        <c:axId val="20535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01251"/>
        <c:crosses val="autoZero"/>
        <c:auto val="1"/>
        <c:lblOffset val="100"/>
        <c:noMultiLvlLbl val="0"/>
      </c:catAx>
      <c:valAx>
        <c:axId val="50601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£ per tenant household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535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76200</xdr:rowOff>
    </xdr:from>
    <xdr:to>
      <xdr:col>10</xdr:col>
      <xdr:colOff>447675</xdr:colOff>
      <xdr:row>21</xdr:row>
      <xdr:rowOff>104775</xdr:rowOff>
    </xdr:to>
    <xdr:graphicFrame>
      <xdr:nvGraphicFramePr>
        <xdr:cNvPr id="1" name="Chart 2"/>
        <xdr:cNvGraphicFramePr/>
      </xdr:nvGraphicFramePr>
      <xdr:xfrm>
        <a:off x="219075" y="238125"/>
        <a:ext cx="85534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workbookViewId="0" topLeftCell="I1">
      <selection activeCell="Q1" sqref="Q1"/>
    </sheetView>
  </sheetViews>
  <sheetFormatPr defaultColWidth="9.140625" defaultRowHeight="12.75"/>
  <cols>
    <col min="1" max="1" width="25.7109375" style="0" customWidth="1"/>
    <col min="2" max="2" width="16.8515625" style="0" customWidth="1"/>
    <col min="3" max="12" width="10.28125" style="0" customWidth="1"/>
    <col min="20" max="20" width="16.57421875" style="0" bestFit="1" customWidth="1"/>
  </cols>
  <sheetData>
    <row r="1" ht="12.75">
      <c r="U1" s="10"/>
    </row>
    <row r="2" spans="20:21" ht="12.75">
      <c r="T2" t="s">
        <v>41</v>
      </c>
      <c r="U2" s="10"/>
    </row>
    <row r="4" ht="12.75">
      <c r="T4" s="12" t="e">
        <f>#REF!*#REF!</f>
        <v>#REF!</v>
      </c>
    </row>
    <row r="5" ht="12.75">
      <c r="T5" s="12"/>
    </row>
    <row r="25" spans="1:17" ht="12.75">
      <c r="A25" s="8" t="s">
        <v>35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2.75">
      <c r="A26" s="13"/>
      <c r="B26" s="7" t="s">
        <v>38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7" t="s">
        <v>39</v>
      </c>
      <c r="N26" s="13"/>
      <c r="O26" s="13"/>
      <c r="P26" s="13"/>
      <c r="Q26" s="13"/>
    </row>
    <row r="27" spans="1:17" ht="12.75">
      <c r="A27" s="13" t="s">
        <v>36</v>
      </c>
      <c r="B27" s="6" t="s">
        <v>23</v>
      </c>
      <c r="C27" s="6" t="s">
        <v>22</v>
      </c>
      <c r="D27" s="6" t="s">
        <v>21</v>
      </c>
      <c r="E27" s="6" t="s">
        <v>20</v>
      </c>
      <c r="F27" s="6" t="s">
        <v>19</v>
      </c>
      <c r="G27" s="6" t="s">
        <v>18</v>
      </c>
      <c r="H27" s="6" t="s">
        <v>17</v>
      </c>
      <c r="I27" s="6" t="s">
        <v>16</v>
      </c>
      <c r="J27" s="6" t="s">
        <v>15</v>
      </c>
      <c r="K27" s="6" t="s">
        <v>14</v>
      </c>
      <c r="L27" s="6" t="s">
        <v>13</v>
      </c>
      <c r="M27" s="9" t="s">
        <v>26</v>
      </c>
      <c r="N27" s="9" t="s">
        <v>28</v>
      </c>
      <c r="O27" s="9" t="s">
        <v>29</v>
      </c>
      <c r="P27" s="9" t="s">
        <v>30</v>
      </c>
      <c r="Q27" s="9" t="s">
        <v>40</v>
      </c>
    </row>
    <row r="28" spans="1:17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2.75">
      <c r="A29" s="13" t="s">
        <v>12</v>
      </c>
      <c r="B29" s="14">
        <v>3844000</v>
      </c>
      <c r="C29" s="3">
        <v>3760000</v>
      </c>
      <c r="D29" s="3">
        <v>3666000</v>
      </c>
      <c r="E29" s="3">
        <v>3565000</v>
      </c>
      <c r="F29" s="3">
        <v>3470000</v>
      </c>
      <c r="G29" s="3">
        <v>3401000</v>
      </c>
      <c r="H29" s="3">
        <v>3309000</v>
      </c>
      <c r="I29" s="3">
        <v>3178000</v>
      </c>
      <c r="J29" s="4">
        <v>3012000</v>
      </c>
      <c r="K29" s="4">
        <v>2812000</v>
      </c>
      <c r="L29" s="4">
        <v>2708000</v>
      </c>
      <c r="M29" s="11">
        <v>2453897</v>
      </c>
      <c r="N29" s="11">
        <v>2297761</v>
      </c>
      <c r="O29" s="11">
        <v>2152757</v>
      </c>
      <c r="P29" s="11">
        <v>2084153</v>
      </c>
      <c r="Q29" s="11">
        <v>1977986</v>
      </c>
    </row>
    <row r="30" spans="1:17" ht="12.75">
      <c r="A30" s="13" t="s">
        <v>5</v>
      </c>
      <c r="B30" s="11">
        <f>3286854061/B29</f>
        <v>855.0608899583767</v>
      </c>
      <c r="C30" s="11">
        <f>3328774298/C29</f>
        <v>885.3123132978724</v>
      </c>
      <c r="D30" s="11">
        <f>3375076872/D29</f>
        <v>920.6429001636661</v>
      </c>
      <c r="E30" s="11">
        <f>3305129205/E29</f>
        <v>927.1049663394109</v>
      </c>
      <c r="F30" s="11">
        <f>3222794448/F29</f>
        <v>928.7592069164265</v>
      </c>
      <c r="G30" s="11">
        <f>3140141485/G29</f>
        <v>923.2994663334314</v>
      </c>
      <c r="H30" s="11">
        <f>3058973906/H29</f>
        <v>924.4405880930794</v>
      </c>
      <c r="I30" s="11">
        <f>2962262674/I29</f>
        <v>932.1153788546255</v>
      </c>
      <c r="J30" s="11">
        <f>2983786673/J29</f>
        <v>990.6330255644091</v>
      </c>
      <c r="K30" s="11">
        <f>2970858979/K29</f>
        <v>1056.4932357752489</v>
      </c>
      <c r="L30" s="11">
        <f>3105643663/L29</f>
        <v>1146.8403482274741</v>
      </c>
      <c r="M30" s="11">
        <f>(2059237724+1167629607)/M29</f>
        <v>1314.997056111157</v>
      </c>
      <c r="N30" s="11">
        <f>(2138822606+1216121472)/N29</f>
        <v>1460.0927067697642</v>
      </c>
      <c r="O30" s="11">
        <f>(2196058540+1249317687)/O29</f>
        <v>1600.4482749330277</v>
      </c>
      <c r="P30" s="11">
        <f>(2203103350+1253322309)/P29</f>
        <v>1658.4318229035969</v>
      </c>
      <c r="Q30" s="11">
        <f>(1240450942+2163021390)/Q29</f>
        <v>1720.675642800303</v>
      </c>
    </row>
    <row r="31" spans="1:17" ht="12.75">
      <c r="A31" s="13" t="s">
        <v>6</v>
      </c>
      <c r="B31" s="13"/>
      <c r="C31" s="13"/>
      <c r="D31" s="13"/>
      <c r="E31" s="13"/>
      <c r="F31" s="13"/>
      <c r="G31" s="13"/>
      <c r="H31" s="13"/>
      <c r="I31" s="11">
        <f>1586912234/I29</f>
        <v>499.34305663939585</v>
      </c>
      <c r="J31" s="11">
        <f>1528961056/J29</f>
        <v>507.62319256308103</v>
      </c>
      <c r="K31" s="11">
        <f>1455753376/K29</f>
        <v>517.6932347083927</v>
      </c>
      <c r="L31" s="11">
        <f>1402029660/L29</f>
        <v>517.7362112259971</v>
      </c>
      <c r="M31" s="11">
        <f>1459636136/M29</f>
        <v>594.8237175398967</v>
      </c>
      <c r="N31" s="11">
        <f>1417925855/N29</f>
        <v>617.0902260940106</v>
      </c>
      <c r="O31" s="11">
        <f>1361820268/O29</f>
        <v>632.5935848774386</v>
      </c>
      <c r="P31" s="11">
        <f>1351978809/P29</f>
        <v>648.6946059142491</v>
      </c>
      <c r="Q31" s="11">
        <f>1328087860/Q29</f>
        <v>671.4344085347419</v>
      </c>
    </row>
    <row r="32" spans="1:17" ht="12.75">
      <c r="A32" s="13"/>
      <c r="B32" s="13"/>
      <c r="C32" s="13"/>
      <c r="D32" s="13"/>
      <c r="E32" s="13"/>
      <c r="F32" s="13"/>
      <c r="G32" s="13"/>
      <c r="H32" s="13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 t="s">
        <v>36</v>
      </c>
      <c r="B33" s="6" t="s">
        <v>23</v>
      </c>
      <c r="C33" s="6" t="s">
        <v>22</v>
      </c>
      <c r="D33" s="6" t="s">
        <v>21</v>
      </c>
      <c r="E33" s="6" t="s">
        <v>20</v>
      </c>
      <c r="F33" s="6" t="s">
        <v>19</v>
      </c>
      <c r="G33" s="6" t="s">
        <v>18</v>
      </c>
      <c r="H33" s="6" t="s">
        <v>17</v>
      </c>
      <c r="I33" s="6" t="s">
        <v>16</v>
      </c>
      <c r="J33" s="6" t="s">
        <v>15</v>
      </c>
      <c r="K33" s="6" t="s">
        <v>14</v>
      </c>
      <c r="L33" s="6" t="s">
        <v>13</v>
      </c>
      <c r="M33" s="9" t="s">
        <v>26</v>
      </c>
      <c r="N33" s="9" t="s">
        <v>28</v>
      </c>
      <c r="O33" s="9" t="s">
        <v>29</v>
      </c>
      <c r="P33" s="9" t="s">
        <v>30</v>
      </c>
      <c r="Q33" s="9" t="s">
        <v>40</v>
      </c>
    </row>
    <row r="34" spans="1:17" ht="12.75">
      <c r="A34" s="13" t="s">
        <v>37</v>
      </c>
      <c r="B34" s="11">
        <f>5795363116/B29</f>
        <v>1507.6386878251822</v>
      </c>
      <c r="C34" s="11">
        <f>6046233772/C29</f>
        <v>1608.0408968085108</v>
      </c>
      <c r="D34" s="11">
        <f>6207846487/D29</f>
        <v>1693.3569249863613</v>
      </c>
      <c r="E34" s="11">
        <f>6203623481/E29</f>
        <v>1740.1468389901822</v>
      </c>
      <c r="F34" s="11">
        <f>6215605975/F29</f>
        <v>1791.2409149855907</v>
      </c>
      <c r="G34" s="11">
        <f>6158111546/G29</f>
        <v>1810.6767262569833</v>
      </c>
      <c r="H34" s="11">
        <f>6089846505/H29</f>
        <v>1840.3887896645513</v>
      </c>
      <c r="I34" s="11">
        <f>6005789010/I29</f>
        <v>1889.8014505978604</v>
      </c>
      <c r="J34" s="11">
        <f>5940056612/J29</f>
        <v>1972.1303492695884</v>
      </c>
      <c r="K34" s="11">
        <f>5815814233/K29</f>
        <v>2068.2127428876242</v>
      </c>
      <c r="L34" s="11">
        <f>5777984059/L29</f>
        <v>2133.67210450517</v>
      </c>
      <c r="M34" s="11">
        <f>6142218435/M29</f>
        <v>2503.0465561512974</v>
      </c>
      <c r="N34" s="11">
        <f>6080832921/N29</f>
        <v>2646.4166294927977</v>
      </c>
      <c r="O34" s="11">
        <f>6281098469/O29</f>
        <v>2917.699707398466</v>
      </c>
      <c r="P34" s="11">
        <f>6520401859/P29</f>
        <v>3128.561990890304</v>
      </c>
      <c r="Q34" s="11">
        <f>6170766481/Q29</f>
        <v>3119.722020782756</v>
      </c>
    </row>
    <row r="35" spans="1:17" ht="12.75">
      <c r="A35" s="13" t="s">
        <v>4</v>
      </c>
      <c r="B35" s="11">
        <f aca="true" t="shared" si="0" ref="B35:Q35">SUM(B30:B31)</f>
        <v>855.0608899583767</v>
      </c>
      <c r="C35" s="11">
        <f t="shared" si="0"/>
        <v>885.3123132978724</v>
      </c>
      <c r="D35" s="11">
        <f t="shared" si="0"/>
        <v>920.6429001636661</v>
      </c>
      <c r="E35" s="11">
        <f t="shared" si="0"/>
        <v>927.1049663394109</v>
      </c>
      <c r="F35" s="11">
        <f t="shared" si="0"/>
        <v>928.7592069164265</v>
      </c>
      <c r="G35" s="11">
        <f t="shared" si="0"/>
        <v>923.2994663334314</v>
      </c>
      <c r="H35" s="11">
        <f t="shared" si="0"/>
        <v>924.4405880930794</v>
      </c>
      <c r="I35" s="11">
        <f t="shared" si="0"/>
        <v>1431.4584354940214</v>
      </c>
      <c r="J35" s="11">
        <f t="shared" si="0"/>
        <v>1498.2562181274902</v>
      </c>
      <c r="K35" s="11">
        <f t="shared" si="0"/>
        <v>1574.1864704836416</v>
      </c>
      <c r="L35" s="11">
        <f t="shared" si="0"/>
        <v>1664.5765594534712</v>
      </c>
      <c r="M35" s="11">
        <f t="shared" si="0"/>
        <v>1909.8207736510537</v>
      </c>
      <c r="N35" s="11">
        <f t="shared" si="0"/>
        <v>2077.182932863775</v>
      </c>
      <c r="O35" s="11">
        <f t="shared" si="0"/>
        <v>2233.041859810466</v>
      </c>
      <c r="P35" s="11">
        <f t="shared" si="0"/>
        <v>2307.126428817846</v>
      </c>
      <c r="Q35" s="11">
        <f t="shared" si="0"/>
        <v>2392.110051335045</v>
      </c>
    </row>
    <row r="36" spans="1:17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2.75">
      <c r="A37" s="13" t="s">
        <v>25</v>
      </c>
      <c r="B37" s="11">
        <f aca="true" t="shared" si="1" ref="B37:Q37">B34-(B30+B31)</f>
        <v>652.5777978668054</v>
      </c>
      <c r="C37" s="11">
        <f t="shared" si="1"/>
        <v>722.7285835106384</v>
      </c>
      <c r="D37" s="11">
        <f t="shared" si="1"/>
        <v>772.7140248226951</v>
      </c>
      <c r="E37" s="11">
        <f t="shared" si="1"/>
        <v>813.0418726507713</v>
      </c>
      <c r="F37" s="11">
        <f t="shared" si="1"/>
        <v>862.4817080691643</v>
      </c>
      <c r="G37" s="11">
        <f t="shared" si="1"/>
        <v>887.377259923552</v>
      </c>
      <c r="H37" s="11">
        <f t="shared" si="1"/>
        <v>915.9482015714718</v>
      </c>
      <c r="I37" s="11">
        <f t="shared" si="1"/>
        <v>458.343015103839</v>
      </c>
      <c r="J37" s="11">
        <f t="shared" si="1"/>
        <v>473.8741311420981</v>
      </c>
      <c r="K37" s="11">
        <f t="shared" si="1"/>
        <v>494.0262724039826</v>
      </c>
      <c r="L37" s="11">
        <f t="shared" si="1"/>
        <v>469.09554505169876</v>
      </c>
      <c r="M37" s="11">
        <f t="shared" si="1"/>
        <v>593.2257825002437</v>
      </c>
      <c r="N37" s="11">
        <f t="shared" si="1"/>
        <v>569.2336966290227</v>
      </c>
      <c r="O37" s="11">
        <f t="shared" si="1"/>
        <v>684.6578475880001</v>
      </c>
      <c r="P37" s="11">
        <f t="shared" si="1"/>
        <v>821.4355620724582</v>
      </c>
      <c r="Q37" s="11">
        <f t="shared" si="1"/>
        <v>727.6119694477111</v>
      </c>
    </row>
    <row r="38" spans="1:17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40" ht="12.75">
      <c r="A40" t="s">
        <v>42</v>
      </c>
    </row>
    <row r="41" ht="12.75">
      <c r="A41" t="s">
        <v>43</v>
      </c>
    </row>
    <row r="42" ht="12.75">
      <c r="B42" t="s">
        <v>44</v>
      </c>
    </row>
    <row r="43" ht="12.75">
      <c r="B43" t="s">
        <v>45</v>
      </c>
    </row>
    <row r="44" ht="12.75">
      <c r="A44" t="s">
        <v>46</v>
      </c>
    </row>
    <row r="45" ht="12.75">
      <c r="B45" t="s">
        <v>47</v>
      </c>
    </row>
    <row r="47" ht="12.75">
      <c r="A47" s="7" t="s">
        <v>51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A23" sqref="A23"/>
    </sheetView>
  </sheetViews>
  <sheetFormatPr defaultColWidth="9.140625" defaultRowHeight="12.75"/>
  <cols>
    <col min="1" max="1" width="23.57421875" style="0" bestFit="1" customWidth="1"/>
    <col min="3" max="5" width="12.7109375" style="0" bestFit="1" customWidth="1"/>
    <col min="6" max="7" width="13.8515625" style="0" bestFit="1" customWidth="1"/>
    <col min="8" max="9" width="13.421875" style="0" bestFit="1" customWidth="1"/>
    <col min="10" max="12" width="13.8515625" style="0" bestFit="1" customWidth="1"/>
    <col min="13" max="13" width="12.7109375" style="0" bestFit="1" customWidth="1"/>
    <col min="14" max="14" width="14.8515625" style="0" bestFit="1" customWidth="1"/>
    <col min="15" max="15" width="13.8515625" style="0" bestFit="1" customWidth="1"/>
  </cols>
  <sheetData>
    <row r="1" ht="12.75">
      <c r="A1" s="8" t="s">
        <v>24</v>
      </c>
    </row>
    <row r="3" ht="12.75">
      <c r="A3" s="7" t="s">
        <v>48</v>
      </c>
    </row>
    <row r="5" spans="3:14" ht="12.75">
      <c r="C5">
        <v>1994</v>
      </c>
      <c r="D5">
        <v>1995</v>
      </c>
      <c r="E5">
        <v>1996</v>
      </c>
      <c r="F5">
        <v>1997</v>
      </c>
      <c r="G5">
        <v>1998</v>
      </c>
      <c r="H5">
        <v>1999</v>
      </c>
      <c r="I5">
        <v>2000</v>
      </c>
      <c r="J5">
        <v>2001</v>
      </c>
      <c r="K5">
        <v>2002</v>
      </c>
      <c r="L5">
        <v>2003</v>
      </c>
      <c r="N5" t="s">
        <v>1</v>
      </c>
    </row>
    <row r="7" spans="1:14" ht="12.75">
      <c r="A7" t="s">
        <v>2</v>
      </c>
      <c r="C7" s="1">
        <v>5795363116</v>
      </c>
      <c r="D7" s="1">
        <v>6046233772</v>
      </c>
      <c r="E7" s="1">
        <v>6207846487</v>
      </c>
      <c r="F7" s="1">
        <v>6203623481</v>
      </c>
      <c r="G7" s="1">
        <v>6215605975</v>
      </c>
      <c r="H7" s="1">
        <v>6158111546</v>
      </c>
      <c r="I7" s="1">
        <v>6089846505</v>
      </c>
      <c r="J7" s="1">
        <v>6005789010</v>
      </c>
      <c r="K7" s="1">
        <v>5940056612</v>
      </c>
      <c r="L7" s="1">
        <v>5815814233</v>
      </c>
      <c r="M7" s="1"/>
      <c r="N7" s="1">
        <f>SUM(C7:M7)</f>
        <v>60478290737</v>
      </c>
    </row>
    <row r="8" spans="3:14" ht="12.75">
      <c r="C8" t="s">
        <v>10</v>
      </c>
      <c r="D8" t="s">
        <v>10</v>
      </c>
      <c r="E8" t="s">
        <v>10</v>
      </c>
      <c r="F8" t="s">
        <v>10</v>
      </c>
      <c r="G8" t="s">
        <v>10</v>
      </c>
      <c r="H8" t="s">
        <v>10</v>
      </c>
      <c r="I8" t="s">
        <v>10</v>
      </c>
      <c r="J8" t="s">
        <v>10</v>
      </c>
      <c r="K8" t="s">
        <v>10</v>
      </c>
      <c r="L8" t="s">
        <v>10</v>
      </c>
      <c r="N8" t="s">
        <v>10</v>
      </c>
    </row>
    <row r="9" spans="1:14" ht="12.75">
      <c r="A9" t="s">
        <v>3</v>
      </c>
      <c r="C9" s="1">
        <f aca="true" t="shared" si="0" ref="C9:L9">SUM(C7:C7)</f>
        <v>5795363116</v>
      </c>
      <c r="D9" s="1">
        <f t="shared" si="0"/>
        <v>6046233772</v>
      </c>
      <c r="E9" s="1">
        <f t="shared" si="0"/>
        <v>6207846487</v>
      </c>
      <c r="F9" s="1">
        <f t="shared" si="0"/>
        <v>6203623481</v>
      </c>
      <c r="G9" s="1">
        <f t="shared" si="0"/>
        <v>6215605975</v>
      </c>
      <c r="H9" s="1">
        <f t="shared" si="0"/>
        <v>6158111546</v>
      </c>
      <c r="I9" s="1">
        <f t="shared" si="0"/>
        <v>6089846505</v>
      </c>
      <c r="J9" s="1">
        <f t="shared" si="0"/>
        <v>6005789010</v>
      </c>
      <c r="K9" s="1">
        <f t="shared" si="0"/>
        <v>5940056612</v>
      </c>
      <c r="L9" s="1">
        <f t="shared" si="0"/>
        <v>5815814233</v>
      </c>
      <c r="M9" s="1"/>
      <c r="N9" s="1">
        <f>SUM(N7:N7)</f>
        <v>60478290737</v>
      </c>
    </row>
    <row r="13" spans="1:14" ht="12.75">
      <c r="A13" t="s">
        <v>49</v>
      </c>
      <c r="C13" s="1">
        <v>3286854061</v>
      </c>
      <c r="D13" s="1">
        <v>3328774298</v>
      </c>
      <c r="E13" s="1">
        <v>3375076872</v>
      </c>
      <c r="F13" s="1">
        <v>3305129205</v>
      </c>
      <c r="G13" s="1">
        <v>3222794448</v>
      </c>
      <c r="H13" s="1">
        <v>3140141485</v>
      </c>
      <c r="I13" s="1">
        <v>3058973906</v>
      </c>
      <c r="J13" s="1">
        <v>2962262674</v>
      </c>
      <c r="K13" s="1">
        <v>2983786673</v>
      </c>
      <c r="L13" s="1">
        <v>2970858979</v>
      </c>
      <c r="M13" s="1"/>
      <c r="N13" s="1">
        <f>SUM(C13:M13)</f>
        <v>31634652601</v>
      </c>
    </row>
    <row r="14" spans="1:14" ht="12.75">
      <c r="A14" t="s">
        <v>6</v>
      </c>
      <c r="J14" s="1">
        <v>1586912234</v>
      </c>
      <c r="K14" s="1">
        <v>1528961056</v>
      </c>
      <c r="L14" s="1">
        <v>1455753376</v>
      </c>
      <c r="M14" s="1"/>
      <c r="N14" s="1">
        <f>SUM(C14:M14)</f>
        <v>4571626666</v>
      </c>
    </row>
    <row r="15" spans="1:14" ht="12.75">
      <c r="A15" t="s">
        <v>7</v>
      </c>
      <c r="I15" s="1">
        <v>20037250</v>
      </c>
      <c r="J15" s="1">
        <v>19900240</v>
      </c>
      <c r="M15" s="1"/>
      <c r="N15" s="1">
        <f>SUM(C15:M15)</f>
        <v>39937490</v>
      </c>
    </row>
    <row r="16" spans="3:14" ht="12.75">
      <c r="C16" t="s">
        <v>9</v>
      </c>
      <c r="D16" t="s">
        <v>9</v>
      </c>
      <c r="E16" t="s">
        <v>9</v>
      </c>
      <c r="F16" t="s">
        <v>9</v>
      </c>
      <c r="G16" t="s">
        <v>9</v>
      </c>
      <c r="H16" t="s">
        <v>9</v>
      </c>
      <c r="I16" t="s">
        <v>9</v>
      </c>
      <c r="J16" t="s">
        <v>9</v>
      </c>
      <c r="K16" t="s">
        <v>9</v>
      </c>
      <c r="L16" t="s">
        <v>9</v>
      </c>
      <c r="N16" t="s">
        <v>11</v>
      </c>
    </row>
    <row r="17" spans="1:14" ht="12.75">
      <c r="A17" t="s">
        <v>8</v>
      </c>
      <c r="C17" s="1">
        <f aca="true" t="shared" si="1" ref="C17:L17">SUM(C13:C15)</f>
        <v>3286854061</v>
      </c>
      <c r="D17" s="1">
        <f t="shared" si="1"/>
        <v>3328774298</v>
      </c>
      <c r="E17" s="1">
        <f t="shared" si="1"/>
        <v>3375076872</v>
      </c>
      <c r="F17" s="1">
        <f t="shared" si="1"/>
        <v>3305129205</v>
      </c>
      <c r="G17" s="1">
        <f t="shared" si="1"/>
        <v>3222794448</v>
      </c>
      <c r="H17" s="1">
        <f t="shared" si="1"/>
        <v>3140141485</v>
      </c>
      <c r="I17" s="1">
        <f t="shared" si="1"/>
        <v>3079011156</v>
      </c>
      <c r="J17" s="1">
        <f t="shared" si="1"/>
        <v>4569075148</v>
      </c>
      <c r="K17" s="1">
        <f t="shared" si="1"/>
        <v>4512747729</v>
      </c>
      <c r="L17" s="1">
        <f t="shared" si="1"/>
        <v>4426612355</v>
      </c>
      <c r="M17" s="1"/>
      <c r="N17" s="1">
        <f>SUM(N13:N15)</f>
        <v>36246216757</v>
      </c>
    </row>
    <row r="19" spans="1:14" ht="12.75">
      <c r="A19" t="s">
        <v>25</v>
      </c>
      <c r="C19" s="1">
        <f aca="true" t="shared" si="2" ref="C19:L19">C9-C17</f>
        <v>2508509055</v>
      </c>
      <c r="D19" s="1">
        <f t="shared" si="2"/>
        <v>2717459474</v>
      </c>
      <c r="E19" s="1">
        <f t="shared" si="2"/>
        <v>2832769615</v>
      </c>
      <c r="F19" s="1">
        <f t="shared" si="2"/>
        <v>2898494276</v>
      </c>
      <c r="G19" s="1">
        <f t="shared" si="2"/>
        <v>2992811527</v>
      </c>
      <c r="H19" s="1">
        <f t="shared" si="2"/>
        <v>3017970061</v>
      </c>
      <c r="I19" s="1">
        <f t="shared" si="2"/>
        <v>3010835349</v>
      </c>
      <c r="J19" s="1">
        <f t="shared" si="2"/>
        <v>1436713862</v>
      </c>
      <c r="K19" s="1">
        <f t="shared" si="2"/>
        <v>1427308883</v>
      </c>
      <c r="L19" s="1">
        <f t="shared" si="2"/>
        <v>1389201878</v>
      </c>
      <c r="M19" s="1"/>
      <c r="N19" s="1">
        <f>N9-N17</f>
        <v>24232073980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L5">
      <selection activeCell="P30" sqref="P30"/>
    </sheetView>
  </sheetViews>
  <sheetFormatPr defaultColWidth="9.140625" defaultRowHeight="12.75"/>
  <cols>
    <col min="1" max="1" width="23.57421875" style="0" bestFit="1" customWidth="1"/>
    <col min="3" max="7" width="12.7109375" style="0" bestFit="1" customWidth="1"/>
    <col min="8" max="9" width="13.421875" style="0" bestFit="1" customWidth="1"/>
    <col min="10" max="13" width="12.7109375" style="0" bestFit="1" customWidth="1"/>
    <col min="15" max="18" width="12.7109375" style="0" bestFit="1" customWidth="1"/>
    <col min="22" max="22" width="12.7109375" style="0" bestFit="1" customWidth="1"/>
  </cols>
  <sheetData>
    <row r="1" ht="12.75">
      <c r="A1" s="8" t="s">
        <v>52</v>
      </c>
    </row>
    <row r="2" spans="1:15" ht="12.75">
      <c r="A2" s="8"/>
      <c r="O2" s="7"/>
    </row>
    <row r="3" spans="1:15" ht="12.75">
      <c r="A3" t="s">
        <v>50</v>
      </c>
      <c r="O3" s="7"/>
    </row>
    <row r="4" spans="1:15" ht="12.75">
      <c r="A4" t="s">
        <v>43</v>
      </c>
      <c r="O4" s="7"/>
    </row>
    <row r="5" spans="2:15" ht="12.75">
      <c r="B5" t="s">
        <v>44</v>
      </c>
      <c r="O5" s="7"/>
    </row>
    <row r="6" spans="2:15" ht="12.75">
      <c r="B6" t="s">
        <v>45</v>
      </c>
      <c r="O6" s="7"/>
    </row>
    <row r="7" spans="1:15" ht="12.75">
      <c r="A7" t="s">
        <v>46</v>
      </c>
      <c r="O7" s="7"/>
    </row>
    <row r="8" spans="2:15" ht="12.75">
      <c r="B8" t="s">
        <v>47</v>
      </c>
      <c r="O8" s="7"/>
    </row>
    <row r="9" ht="12.75">
      <c r="O9" s="7" t="s">
        <v>27</v>
      </c>
    </row>
    <row r="10" ht="12.75">
      <c r="O10" s="7"/>
    </row>
    <row r="11" spans="1:20" ht="12.75">
      <c r="A11" t="s">
        <v>12</v>
      </c>
      <c r="C11" s="5">
        <v>3844000</v>
      </c>
      <c r="D11" s="3">
        <v>3760000</v>
      </c>
      <c r="E11" s="3">
        <v>3666000</v>
      </c>
      <c r="F11" s="3">
        <v>3565000</v>
      </c>
      <c r="G11" s="3">
        <v>3470000</v>
      </c>
      <c r="H11" s="3">
        <v>3401000</v>
      </c>
      <c r="I11" s="3">
        <v>3309000</v>
      </c>
      <c r="J11" s="3">
        <v>3178000</v>
      </c>
      <c r="K11" s="4">
        <v>3012000</v>
      </c>
      <c r="L11" s="4">
        <v>2812000</v>
      </c>
      <c r="M11" s="4">
        <v>2708000</v>
      </c>
      <c r="O11" s="1">
        <v>2453897</v>
      </c>
      <c r="P11" s="1">
        <v>2297761</v>
      </c>
      <c r="Q11" s="1">
        <v>2152757</v>
      </c>
      <c r="R11" s="1">
        <v>2084153</v>
      </c>
      <c r="T11" s="11">
        <v>1977986</v>
      </c>
    </row>
    <row r="12" spans="15:18" ht="12.75">
      <c r="O12" s="1"/>
      <c r="P12" s="1"/>
      <c r="Q12" s="1"/>
      <c r="R12" s="1"/>
    </row>
    <row r="13" spans="3:19" ht="12.75">
      <c r="C13" s="6" t="s">
        <v>23</v>
      </c>
      <c r="D13" s="6" t="s">
        <v>22</v>
      </c>
      <c r="E13" s="6" t="s">
        <v>21</v>
      </c>
      <c r="F13" s="6" t="s">
        <v>20</v>
      </c>
      <c r="G13" s="6" t="s">
        <v>19</v>
      </c>
      <c r="H13" s="6" t="s">
        <v>18</v>
      </c>
      <c r="I13" s="6" t="s">
        <v>17</v>
      </c>
      <c r="J13" s="6" t="s">
        <v>16</v>
      </c>
      <c r="K13" s="6" t="s">
        <v>15</v>
      </c>
      <c r="L13" s="6" t="s">
        <v>14</v>
      </c>
      <c r="M13" s="6" t="s">
        <v>13</v>
      </c>
      <c r="O13" s="9" t="s">
        <v>26</v>
      </c>
      <c r="P13" s="9" t="s">
        <v>28</v>
      </c>
      <c r="Q13" s="9" t="s">
        <v>29</v>
      </c>
      <c r="R13" s="9" t="s">
        <v>30</v>
      </c>
      <c r="S13" s="9" t="s">
        <v>40</v>
      </c>
    </row>
    <row r="14" spans="1:19" ht="12.75">
      <c r="A14" s="7" t="s">
        <v>0</v>
      </c>
      <c r="O14" s="1"/>
      <c r="P14" s="1"/>
      <c r="Q14" s="1"/>
      <c r="R14" s="1"/>
      <c r="S14" s="13"/>
    </row>
    <row r="15" spans="1:21" ht="12.75">
      <c r="A15" t="s">
        <v>2</v>
      </c>
      <c r="C15" s="1">
        <f>5795363116/C11</f>
        <v>1507.6386878251822</v>
      </c>
      <c r="D15" s="1">
        <f>6046233772/D11</f>
        <v>1608.0408968085108</v>
      </c>
      <c r="E15" s="1">
        <f>6207846487/E11</f>
        <v>1693.3569249863613</v>
      </c>
      <c r="F15" s="1">
        <f>6203623481/F11</f>
        <v>1740.1468389901822</v>
      </c>
      <c r="G15" s="1">
        <f>6215605975/G11</f>
        <v>1791.2409149855907</v>
      </c>
      <c r="H15" s="1">
        <f>6158111546/H11</f>
        <v>1810.6767262569833</v>
      </c>
      <c r="I15" s="1">
        <f>6089846505/I11</f>
        <v>1840.3887896645513</v>
      </c>
      <c r="J15" s="1">
        <f>6005789010/J11</f>
        <v>1889.8014505978604</v>
      </c>
      <c r="K15" s="1">
        <f>5940056612/K11</f>
        <v>1972.1303492695884</v>
      </c>
      <c r="L15" s="1">
        <f>5815814233/L11</f>
        <v>2068.2127428876242</v>
      </c>
      <c r="M15" s="1">
        <f>5777984059/M11</f>
        <v>2133.67210450517</v>
      </c>
      <c r="O15" s="1">
        <f>6142218435/O11</f>
        <v>2503.0465561512974</v>
      </c>
      <c r="P15" s="1">
        <f>6080832921/P11</f>
        <v>2646.4166294927977</v>
      </c>
      <c r="Q15" s="1">
        <f>6281098469/Q11</f>
        <v>2917.699707398466</v>
      </c>
      <c r="R15" s="1">
        <f>6520401859/R11</f>
        <v>3128.561990890304</v>
      </c>
      <c r="S15" s="11">
        <f>6170766481/T11</f>
        <v>3119.722020782756</v>
      </c>
      <c r="U15" t="s">
        <v>31</v>
      </c>
    </row>
    <row r="16" spans="3:18" ht="12.75">
      <c r="C16" t="s">
        <v>10</v>
      </c>
      <c r="D16" t="s">
        <v>10</v>
      </c>
      <c r="E16" t="s">
        <v>10</v>
      </c>
      <c r="F16" t="s">
        <v>10</v>
      </c>
      <c r="G16" t="s">
        <v>10</v>
      </c>
      <c r="H16" t="s">
        <v>10</v>
      </c>
      <c r="I16" t="s">
        <v>10</v>
      </c>
      <c r="J16" t="s">
        <v>10</v>
      </c>
      <c r="K16" t="s">
        <v>10</v>
      </c>
      <c r="L16" t="s">
        <v>10</v>
      </c>
      <c r="M16" t="s">
        <v>10</v>
      </c>
      <c r="O16" s="1"/>
      <c r="P16" s="1"/>
      <c r="Q16" s="1"/>
      <c r="R16" s="1"/>
    </row>
    <row r="17" spans="1:18" ht="12.75">
      <c r="A17" t="s">
        <v>3</v>
      </c>
      <c r="C17" s="1">
        <f aca="true" t="shared" si="0" ref="C17:M17">SUM(C15:C15)</f>
        <v>1507.6386878251822</v>
      </c>
      <c r="D17" s="1">
        <f t="shared" si="0"/>
        <v>1608.0408968085108</v>
      </c>
      <c r="E17" s="1">
        <f t="shared" si="0"/>
        <v>1693.3569249863613</v>
      </c>
      <c r="F17" s="1">
        <f t="shared" si="0"/>
        <v>1740.1468389901822</v>
      </c>
      <c r="G17" s="1">
        <f t="shared" si="0"/>
        <v>1791.2409149855907</v>
      </c>
      <c r="H17" s="1">
        <f t="shared" si="0"/>
        <v>1810.6767262569833</v>
      </c>
      <c r="I17" s="1">
        <f t="shared" si="0"/>
        <v>1840.3887896645513</v>
      </c>
      <c r="J17" s="1">
        <f t="shared" si="0"/>
        <v>1889.8014505978604</v>
      </c>
      <c r="K17" s="1">
        <f t="shared" si="0"/>
        <v>1972.1303492695884</v>
      </c>
      <c r="L17" s="1">
        <f t="shared" si="0"/>
        <v>2068.2127428876242</v>
      </c>
      <c r="M17" s="1">
        <f t="shared" si="0"/>
        <v>2133.67210450517</v>
      </c>
      <c r="O17" s="1"/>
      <c r="P17" s="1"/>
      <c r="Q17" s="1"/>
      <c r="R17" s="1"/>
    </row>
    <row r="18" spans="15:19" ht="12.75">
      <c r="O18" s="1"/>
      <c r="P18" s="1"/>
      <c r="Q18" s="1"/>
      <c r="R18" s="1"/>
      <c r="S18" s="11"/>
    </row>
    <row r="19" spans="1:18" ht="12.75">
      <c r="A19" s="7" t="s">
        <v>4</v>
      </c>
      <c r="O19" s="11"/>
      <c r="P19" s="11"/>
      <c r="Q19" s="11"/>
      <c r="R19" s="11"/>
    </row>
    <row r="20" spans="15:18" ht="12.75">
      <c r="O20" s="10"/>
      <c r="P20" s="10"/>
      <c r="Q20" s="10"/>
      <c r="R20" s="10"/>
    </row>
    <row r="21" spans="1:22" ht="12.75">
      <c r="A21" t="s">
        <v>5</v>
      </c>
      <c r="C21" s="1">
        <f>3286854061/C11</f>
        <v>855.0608899583767</v>
      </c>
      <c r="D21" s="1">
        <f>3328774298/D11</f>
        <v>885.3123132978724</v>
      </c>
      <c r="E21" s="1">
        <f>3375076872/E11</f>
        <v>920.6429001636661</v>
      </c>
      <c r="F21" s="1">
        <f>3305129205/F11</f>
        <v>927.1049663394109</v>
      </c>
      <c r="G21" s="1">
        <f>3222794448/G11</f>
        <v>928.7592069164265</v>
      </c>
      <c r="H21" s="1">
        <f>3140141485/H11</f>
        <v>923.2994663334314</v>
      </c>
      <c r="I21" s="1">
        <f>3058973906/I11</f>
        <v>924.4405880930794</v>
      </c>
      <c r="J21" s="1">
        <f>2962262674/J11</f>
        <v>932.1153788546255</v>
      </c>
      <c r="K21" s="1">
        <f>2983786673/K11</f>
        <v>990.6330255644091</v>
      </c>
      <c r="L21" s="1">
        <f>2970858979/L11</f>
        <v>1056.4932357752489</v>
      </c>
      <c r="M21" s="1">
        <f>3105643663/M11</f>
        <v>1146.8403482274741</v>
      </c>
      <c r="O21" s="1">
        <f>(2059237724+1167629607)/O11</f>
        <v>1314.997056111157</v>
      </c>
      <c r="P21" s="1">
        <f>(2138822606+1216121472)/P11</f>
        <v>1460.0927067697642</v>
      </c>
      <c r="Q21" s="1">
        <f>(2196058540+1249317687)/Q11</f>
        <v>1600.4482749330277</v>
      </c>
      <c r="R21" s="1">
        <f>(2203103350+1253322309)/R11</f>
        <v>1658.4318229035969</v>
      </c>
      <c r="S21" s="11">
        <f>(1240450942+2163021390)/T11</f>
        <v>1720.675642800303</v>
      </c>
      <c r="U21" t="s">
        <v>5</v>
      </c>
      <c r="V21" s="1"/>
    </row>
    <row r="22" spans="1:21" ht="12.75">
      <c r="A22" t="s">
        <v>6</v>
      </c>
      <c r="J22" s="1">
        <f>1586912234/J11</f>
        <v>499.34305663939585</v>
      </c>
      <c r="K22" s="1">
        <f>1528961056/K11</f>
        <v>507.62319256308103</v>
      </c>
      <c r="L22" s="1">
        <f>1455753376/L11</f>
        <v>517.6932347083927</v>
      </c>
      <c r="M22" s="1">
        <f>1402029660/M11</f>
        <v>517.7362112259971</v>
      </c>
      <c r="O22" s="1">
        <f>1459636136/O11</f>
        <v>594.8237175398967</v>
      </c>
      <c r="P22" s="1">
        <f>1417925855/P11</f>
        <v>617.0902260940106</v>
      </c>
      <c r="Q22" s="1">
        <f>1361820268/Q11</f>
        <v>632.5935848774386</v>
      </c>
      <c r="R22" s="1">
        <f>1351978809/R11</f>
        <v>648.6946059142491</v>
      </c>
      <c r="S22" s="11">
        <f>1328087860/T11</f>
        <v>671.4344085347419</v>
      </c>
      <c r="U22" t="s">
        <v>32</v>
      </c>
    </row>
    <row r="23" spans="1:18" ht="12.75">
      <c r="A23" t="s">
        <v>7</v>
      </c>
      <c r="I23" s="1">
        <f>20037250/I11</f>
        <v>6.055379268661227</v>
      </c>
      <c r="J23" s="1">
        <f>19900240/J11</f>
        <v>6.261875393329138</v>
      </c>
      <c r="M23" s="1">
        <f>26701779/M11</f>
        <v>9.860331979320533</v>
      </c>
      <c r="O23" s="1"/>
      <c r="P23" s="1"/>
      <c r="Q23" s="1"/>
      <c r="R23" s="1"/>
    </row>
    <row r="24" spans="3:19" ht="12.75">
      <c r="C24" s="15" t="s">
        <v>9</v>
      </c>
      <c r="D24" s="15" t="s">
        <v>9</v>
      </c>
      <c r="E24" s="15" t="s">
        <v>9</v>
      </c>
      <c r="F24" s="16" t="s">
        <v>9</v>
      </c>
      <c r="G24" s="15" t="s">
        <v>9</v>
      </c>
      <c r="H24" s="15" t="s">
        <v>9</v>
      </c>
      <c r="I24" s="15" t="s">
        <v>9</v>
      </c>
      <c r="J24" s="15" t="s">
        <v>9</v>
      </c>
      <c r="K24" s="15" t="s">
        <v>9</v>
      </c>
      <c r="L24" s="15" t="s">
        <v>9</v>
      </c>
      <c r="M24" s="15" t="s">
        <v>9</v>
      </c>
      <c r="O24" s="5" t="s">
        <v>33</v>
      </c>
      <c r="P24" s="5" t="s">
        <v>33</v>
      </c>
      <c r="Q24" s="5" t="s">
        <v>33</v>
      </c>
      <c r="R24" s="5" t="s">
        <v>33</v>
      </c>
      <c r="S24" s="5" t="s">
        <v>33</v>
      </c>
    </row>
    <row r="25" spans="1:21" ht="12.75">
      <c r="A25" t="s">
        <v>8</v>
      </c>
      <c r="C25" s="1">
        <f aca="true" t="shared" si="1" ref="C25:M25">SUM(C21:C23)</f>
        <v>855.0608899583767</v>
      </c>
      <c r="D25" s="1">
        <f t="shared" si="1"/>
        <v>885.3123132978724</v>
      </c>
      <c r="E25" s="1">
        <f t="shared" si="1"/>
        <v>920.6429001636661</v>
      </c>
      <c r="F25" s="1">
        <f t="shared" si="1"/>
        <v>927.1049663394109</v>
      </c>
      <c r="G25" s="1">
        <f t="shared" si="1"/>
        <v>928.7592069164265</v>
      </c>
      <c r="H25" s="1">
        <f t="shared" si="1"/>
        <v>923.2994663334314</v>
      </c>
      <c r="I25" s="1">
        <f t="shared" si="1"/>
        <v>930.4959673617407</v>
      </c>
      <c r="J25" s="1">
        <f t="shared" si="1"/>
        <v>1437.7203108873505</v>
      </c>
      <c r="K25" s="1">
        <f t="shared" si="1"/>
        <v>1498.2562181274902</v>
      </c>
      <c r="L25" s="1">
        <f t="shared" si="1"/>
        <v>1574.1864704836416</v>
      </c>
      <c r="M25" s="1">
        <f t="shared" si="1"/>
        <v>1674.4368914327918</v>
      </c>
      <c r="O25" s="1">
        <f>SUM(O21:O23)</f>
        <v>1909.8207736510537</v>
      </c>
      <c r="P25" s="1">
        <f>SUM(P21:P23)</f>
        <v>2077.182932863775</v>
      </c>
      <c r="Q25" s="1">
        <f>SUM(Q21:Q23)</f>
        <v>2233.041859810466</v>
      </c>
      <c r="R25" s="1">
        <f>SUM(R21:R23)</f>
        <v>2307.126428817846</v>
      </c>
      <c r="S25" s="1">
        <f>SUM(S21:S23)</f>
        <v>2392.110051335045</v>
      </c>
      <c r="U25" t="s">
        <v>34</v>
      </c>
    </row>
    <row r="28" spans="1:21" ht="12.75">
      <c r="A28" t="s">
        <v>25</v>
      </c>
      <c r="C28" s="1">
        <f aca="true" t="shared" si="2" ref="C28:M28">C15-(C25)</f>
        <v>652.5777978668054</v>
      </c>
      <c r="D28" s="1">
        <f t="shared" si="2"/>
        <v>722.7285835106384</v>
      </c>
      <c r="E28" s="1">
        <f t="shared" si="2"/>
        <v>772.7140248226951</v>
      </c>
      <c r="F28" s="1">
        <f t="shared" si="2"/>
        <v>813.0418726507713</v>
      </c>
      <c r="G28" s="1">
        <f t="shared" si="2"/>
        <v>862.4817080691643</v>
      </c>
      <c r="H28" s="1">
        <f t="shared" si="2"/>
        <v>887.377259923552</v>
      </c>
      <c r="I28" s="1">
        <f t="shared" si="2"/>
        <v>909.8928223028106</v>
      </c>
      <c r="J28" s="1">
        <f t="shared" si="2"/>
        <v>452.0811397105099</v>
      </c>
      <c r="K28" s="1">
        <f t="shared" si="2"/>
        <v>473.8741311420981</v>
      </c>
      <c r="L28" s="1">
        <f t="shared" si="2"/>
        <v>494.0262724039826</v>
      </c>
      <c r="M28" s="1">
        <f t="shared" si="2"/>
        <v>459.2352130723782</v>
      </c>
      <c r="O28" s="1">
        <f>O15-(O25)</f>
        <v>593.2257825002437</v>
      </c>
      <c r="P28" s="1">
        <f>P15-(P25)</f>
        <v>569.2336966290227</v>
      </c>
      <c r="Q28" s="1">
        <f>Q15-(Q25)</f>
        <v>684.6578475880001</v>
      </c>
      <c r="R28" s="1">
        <f>R15-(R25)</f>
        <v>821.4355620724582</v>
      </c>
      <c r="S28" s="1">
        <f>S15-(S25)</f>
        <v>727.6119694477111</v>
      </c>
      <c r="U28" t="s">
        <v>25</v>
      </c>
    </row>
    <row r="30" ht="12.75">
      <c r="T30" s="9"/>
    </row>
    <row r="32" spans="2:4" ht="12.75">
      <c r="B32" s="2"/>
      <c r="C32" s="4"/>
      <c r="D32" s="4"/>
    </row>
    <row r="33" spans="2:4" ht="12.75">
      <c r="B33" s="2"/>
      <c r="C33" s="4"/>
      <c r="D33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Lesley</cp:lastModifiedBy>
  <cp:lastPrinted>2007-11-30T14:38:02Z</cp:lastPrinted>
  <dcterms:created xsi:type="dcterms:W3CDTF">2007-11-16T09:48:44Z</dcterms:created>
  <dcterms:modified xsi:type="dcterms:W3CDTF">2008-05-21T10:51:37Z</dcterms:modified>
  <cp:category/>
  <cp:version/>
  <cp:contentType/>
  <cp:contentStatus/>
</cp:coreProperties>
</file>